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vin Vela\Downloads\"/>
    </mc:Choice>
  </mc:AlternateContent>
  <xr:revisionPtr revIDLastSave="0" documentId="13_ncr:1_{4B22E8B3-F2AB-464C-A98E-BE32DB85BD5C}" xr6:coauthVersionLast="47" xr6:coauthVersionMax="47" xr10:uidLastSave="{00000000-0000-0000-0000-000000000000}"/>
  <bookViews>
    <workbookView xWindow="-28920" yWindow="-120" windowWidth="29040" windowHeight="16440" xr2:uid="{AA2D2F4F-3FAF-40E6-B04D-9505A40225AD}"/>
  </bookViews>
  <sheets>
    <sheet name="Hypo from VW Blog" sheetId="2" r:id="rId1"/>
    <sheet name="Conv Note 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2" l="1"/>
  <c r="I32" i="2"/>
  <c r="K26" i="2"/>
  <c r="K27" i="2" s="1"/>
  <c r="J26" i="2"/>
  <c r="I26" i="2"/>
  <c r="D26" i="2"/>
  <c r="C26" i="2"/>
  <c r="B26" i="2"/>
  <c r="L25" i="2"/>
  <c r="K25" i="2"/>
  <c r="J25" i="2"/>
  <c r="I25" i="2"/>
  <c r="G25" i="2"/>
  <c r="F25" i="2"/>
  <c r="D25" i="2"/>
  <c r="C25" i="2"/>
  <c r="B25" i="2"/>
  <c r="E19" i="2"/>
  <c r="J18" i="2"/>
  <c r="I18" i="2"/>
  <c r="F18" i="2"/>
  <c r="D18" i="2"/>
  <c r="E12" i="2"/>
  <c r="E11" i="2"/>
  <c r="L26" i="2" l="1"/>
  <c r="M26" i="2" s="1"/>
  <c r="G18" i="2"/>
  <c r="H18" i="2" s="1"/>
  <c r="H19" i="2" s="1"/>
  <c r="E13" i="2"/>
  <c r="F12" i="2" s="1"/>
  <c r="F26" i="2"/>
  <c r="C32" i="2"/>
  <c r="J21" i="1"/>
  <c r="J20" i="1"/>
  <c r="J19" i="1"/>
  <c r="I19" i="1"/>
  <c r="F21" i="1"/>
  <c r="F20" i="1"/>
  <c r="F19" i="1"/>
  <c r="D21" i="1"/>
  <c r="D20" i="1"/>
  <c r="D19" i="1"/>
  <c r="F11" i="2" l="1"/>
  <c r="G19" i="2"/>
  <c r="N26" i="2"/>
  <c r="M27" i="2"/>
  <c r="D31" i="1"/>
  <c r="D30" i="1"/>
  <c r="D29" i="1"/>
  <c r="F13" i="2" l="1"/>
  <c r="N27" i="2"/>
  <c r="G19" i="1"/>
  <c r="J37" i="1"/>
  <c r="I37" i="1"/>
  <c r="L28" i="1"/>
  <c r="K28" i="1"/>
  <c r="J28" i="1"/>
  <c r="I28" i="1"/>
  <c r="G28" i="1"/>
  <c r="F28" i="1"/>
  <c r="D28" i="1"/>
  <c r="C28" i="1"/>
  <c r="B28" i="1"/>
  <c r="L31" i="1"/>
  <c r="G21" i="1"/>
  <c r="J31" i="1"/>
  <c r="I31" i="1"/>
  <c r="L30" i="1"/>
  <c r="K30" i="1"/>
  <c r="J30" i="1"/>
  <c r="I30" i="1"/>
  <c r="L29" i="1"/>
  <c r="E22" i="1"/>
  <c r="J29" i="1"/>
  <c r="I29" i="1"/>
  <c r="E14" i="1"/>
  <c r="E13" i="1"/>
  <c r="B31" i="1"/>
  <c r="C30" i="1"/>
  <c r="B30" i="1"/>
  <c r="E11" i="1"/>
  <c r="B29" i="1"/>
  <c r="M30" i="1" l="1"/>
  <c r="N30" i="1" s="1"/>
  <c r="F30" i="1"/>
  <c r="H21" i="1"/>
  <c r="K29" i="1"/>
  <c r="K31" i="1"/>
  <c r="M31" i="1" s="1"/>
  <c r="N31" i="1" s="1"/>
  <c r="C29" i="1"/>
  <c r="C31" i="1"/>
  <c r="F31" i="1" s="1"/>
  <c r="H19" i="1"/>
  <c r="E12" i="1"/>
  <c r="G20" i="1"/>
  <c r="H20" i="1" s="1"/>
  <c r="H22" i="1" l="1"/>
  <c r="C37" i="1"/>
  <c r="F29" i="1"/>
  <c r="G22" i="1"/>
  <c r="K32" i="1"/>
  <c r="M29" i="1"/>
  <c r="E15" i="1"/>
  <c r="N29" i="1" l="1"/>
  <c r="M32" i="1"/>
  <c r="F14" i="1"/>
  <c r="F11" i="1"/>
  <c r="F13" i="1"/>
  <c r="F12" i="1"/>
  <c r="F15" i="1" l="1"/>
  <c r="N32" i="1"/>
  <c r="K27" i="1"/>
  <c r="G29" i="1"/>
  <c r="O29" i="1"/>
  <c r="P29" i="1"/>
  <c r="G30" i="1"/>
  <c r="O30" i="1"/>
  <c r="P30" i="1"/>
  <c r="G31" i="1"/>
  <c r="O31" i="1"/>
  <c r="P31" i="1"/>
  <c r="D32" i="1"/>
  <c r="F32" i="1"/>
  <c r="G32" i="1"/>
  <c r="P32" i="1"/>
  <c r="E33" i="1"/>
  <c r="F33" i="1"/>
  <c r="G33" i="1"/>
  <c r="F34" i="1"/>
  <c r="G34" i="1"/>
  <c r="E36" i="1"/>
  <c r="F36" i="1"/>
  <c r="G36" i="1"/>
  <c r="D37" i="1"/>
  <c r="E37" i="1"/>
  <c r="F37" i="1"/>
  <c r="G37" i="1"/>
  <c r="K37" i="1"/>
  <c r="L37" i="1"/>
  <c r="K24" i="2"/>
  <c r="G26" i="2"/>
  <c r="O26" i="2"/>
  <c r="P26" i="2"/>
  <c r="D27" i="2"/>
  <c r="F27" i="2"/>
  <c r="G27" i="2"/>
  <c r="P27" i="2"/>
  <c r="E28" i="2"/>
  <c r="F28" i="2"/>
  <c r="G28" i="2"/>
  <c r="F29" i="2"/>
  <c r="G29" i="2"/>
  <c r="E31" i="2"/>
  <c r="F31" i="2"/>
  <c r="G31" i="2"/>
  <c r="D32" i="2"/>
  <c r="E32" i="2"/>
  <c r="F32" i="2"/>
  <c r="G32" i="2"/>
  <c r="K32" i="2"/>
  <c r="L32" i="2"/>
</calcChain>
</file>

<file path=xl/sharedStrings.xml><?xml version="1.0" encoding="utf-8"?>
<sst xmlns="http://schemas.openxmlformats.org/spreadsheetml/2006/main" count="123" uniqueCount="72">
  <si>
    <t>Name</t>
  </si>
  <si>
    <t>Common &amp; Restricted</t>
  </si>
  <si>
    <t>Common Options &amp; Warrants</t>
  </si>
  <si>
    <t>Fully-Diluted Shares</t>
  </si>
  <si>
    <t>Fully-Diluted Ownership</t>
  </si>
  <si>
    <t>Totals:</t>
  </si>
  <si>
    <t>Outstanding Convertible Notes</t>
  </si>
  <si>
    <t>Investor</t>
  </si>
  <si>
    <t>Note Date</t>
  </si>
  <si>
    <t>Maturity Date</t>
  </si>
  <si>
    <t>Principal Balance</t>
  </si>
  <si>
    <t>Interest Rate</t>
  </si>
  <si>
    <t>Accrued Interest</t>
  </si>
  <si>
    <t>P + I</t>
  </si>
  <si>
    <t>Conversion Cap</t>
  </si>
  <si>
    <t>Discount</t>
  </si>
  <si>
    <t>Next Round Hypotheticals</t>
  </si>
  <si>
    <t>Next Round Raise:</t>
  </si>
  <si>
    <t>Pre-Money Valuation:</t>
  </si>
  <si>
    <t xml:space="preserve">Assumed Conversion Date: </t>
  </si>
  <si>
    <t>Shares Prior to Conversion:</t>
  </si>
  <si>
    <t xml:space="preserve">Series Seed Preferred Stock </t>
  </si>
  <si>
    <t>Total P + I</t>
  </si>
  <si>
    <t>$/Conversion Share</t>
  </si>
  <si>
    <t>Conversion Shares</t>
  </si>
  <si>
    <t>Convertibles</t>
  </si>
  <si>
    <t>Subtotals:</t>
  </si>
  <si>
    <t>Next Round Calculation</t>
  </si>
  <si>
    <t>Investment</t>
  </si>
  <si>
    <t>Pre-Money</t>
  </si>
  <si>
    <t>Price/Share</t>
  </si>
  <si>
    <t>Next Round Shares</t>
  </si>
  <si>
    <t xml:space="preserve">Totals: </t>
  </si>
  <si>
    <t>Founder A</t>
  </si>
  <si>
    <t>Founder B</t>
  </si>
  <si>
    <t>Founder C</t>
  </si>
  <si>
    <t>Noteholder 1</t>
  </si>
  <si>
    <t>Noteholder 2</t>
  </si>
  <si>
    <t>Noteholder 3</t>
  </si>
  <si>
    <t>ACME INC. CAP TABLE</t>
  </si>
  <si>
    <t>Employee Pool</t>
  </si>
  <si>
    <t>Model Notes</t>
  </si>
  <si>
    <t>(2) If you need to add rows, then insert and copy down from the row above to keep the formulas the same.</t>
  </si>
  <si>
    <t>(3) The model uses iterative calculations (circular references) to calculate the employee pool and conversion share price.</t>
  </si>
  <si>
    <r>
      <t xml:space="preserve">(4) There are some error catching mechanisms build into the model. Errors should show up in </t>
    </r>
    <r>
      <rPr>
        <i/>
        <sz val="12"/>
        <color rgb="FFFF0000"/>
        <rFont val="Calibri"/>
        <family val="2"/>
        <scheme val="minor"/>
      </rPr>
      <t>red</t>
    </r>
    <r>
      <rPr>
        <i/>
        <sz val="12"/>
        <rFont val="Calibri"/>
        <family val="2"/>
        <scheme val="minor"/>
      </rPr>
      <t>.</t>
    </r>
  </si>
  <si>
    <r>
      <t xml:space="preserve">(1) Scenario Cells are in </t>
    </r>
    <r>
      <rPr>
        <i/>
        <sz val="12"/>
        <color rgb="FF0070C0"/>
        <rFont val="Calibri (Body)_x0000_"/>
      </rPr>
      <t>blue</t>
    </r>
    <r>
      <rPr>
        <i/>
        <sz val="12"/>
        <color theme="1"/>
        <rFont val="Calibri"/>
        <family val="2"/>
        <scheme val="minor"/>
      </rPr>
      <t>.</t>
    </r>
  </si>
  <si>
    <t>© Vela Wood P.C. 2020</t>
  </si>
  <si>
    <r>
      <rPr>
        <vertAlign val="superscript"/>
        <sz val="12"/>
        <color theme="1"/>
        <rFont val="Calibri"/>
        <family val="2"/>
        <scheme val="minor"/>
      </rPr>
      <t xml:space="preserve">1 </t>
    </r>
    <r>
      <rPr>
        <sz val="12"/>
        <color theme="1"/>
        <rFont val="Calibri"/>
        <family val="2"/>
        <scheme val="minor"/>
      </rPr>
      <t xml:space="preserve">Assumes the notes convert </t>
    </r>
    <r>
      <rPr>
        <i/>
        <sz val="12"/>
        <color theme="1"/>
        <rFont val="Calibri"/>
        <family val="2"/>
        <scheme val="minor"/>
      </rPr>
      <t>prior</t>
    </r>
    <r>
      <rPr>
        <sz val="12"/>
        <color theme="1"/>
        <rFont val="Calibri"/>
        <family val="2"/>
        <scheme val="minor"/>
      </rPr>
      <t xml:space="preserve"> to the Next Round. This is typical, though in some instances the notes convert alongside the next round.</t>
    </r>
  </si>
  <si>
    <t>Interest Rate:</t>
  </si>
  <si>
    <t>Conversion Cap:</t>
  </si>
  <si>
    <t>Maturity (years):</t>
  </si>
  <si>
    <t>Discount:</t>
  </si>
  <si>
    <r>
      <t>Convertibles Calculation</t>
    </r>
    <r>
      <rPr>
        <vertAlign val="superscript"/>
        <sz val="12"/>
        <color theme="1"/>
        <rFont val="Calibri"/>
        <family val="2"/>
        <scheme val="minor"/>
      </rPr>
      <t>1</t>
    </r>
  </si>
  <si>
    <t>Convertible Note Round Assumptions</t>
  </si>
  <si>
    <t>Assumptions:</t>
  </si>
  <si>
    <t>Seed Round Calculations</t>
  </si>
  <si>
    <t>Seed Ventures Shares</t>
  </si>
  <si>
    <t>Seed Ventures Round Calculation</t>
  </si>
  <si>
    <t>To turn on iterative calculations in Excel for Mac click on Excel &gt;&gt; Preferences &gt;&gt; Calculation and check "Enable Iterative Calculation". Leave the default values.</t>
  </si>
  <si>
    <t>To turn on iterative calculations in Excel for Windows go to File &gt;&gt; Options &gt;&gt; Formulas and check "Enable Iterative Calculation." Leave the default values.</t>
  </si>
  <si>
    <t>(5) Prices round to 4 decimal points; shares round down. This is firm preference but generally standard across venture firms.</t>
  </si>
  <si>
    <t>Annie Angel Investor</t>
  </si>
  <si>
    <t>Post-Money Avail Option Pool %:</t>
  </si>
  <si>
    <t>STARTUP INC. CAP TABLE</t>
  </si>
  <si>
    <t xml:space="preserve">Common Options </t>
  </si>
  <si>
    <t>Annie Angel Investor (Conversion Shares)</t>
  </si>
  <si>
    <r>
      <t xml:space="preserve">(4) There are some error catching mechanisms built into the model. Errors should show up in </t>
    </r>
    <r>
      <rPr>
        <i/>
        <sz val="12"/>
        <color rgb="FFFF0000"/>
        <rFont val="Calibri"/>
        <family val="2"/>
        <scheme val="minor"/>
      </rPr>
      <t>red</t>
    </r>
    <r>
      <rPr>
        <i/>
        <sz val="12"/>
        <rFont val="Calibri"/>
        <family val="2"/>
        <scheme val="minor"/>
      </rPr>
      <t>.</t>
    </r>
  </si>
  <si>
    <t>(5) Prices round to 4 decimal points; shares round down to the nearest share. This is firm preference but generally standard across venture firms.</t>
  </si>
  <si>
    <t>Founders</t>
  </si>
  <si>
    <r>
      <t>$/Conversion Share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</si>
  <si>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Note that I use a "min" formula here, but separating these out you get $.4846 per share for the cap price, while the discount price is $.6069 ($.7586 * (1-.20))</t>
    </r>
  </si>
  <si>
    <t>© Vela Wood P.C.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</si>
</sst>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%"/>
    <numFmt numFmtId="167" formatCode="[$-409]mmm\-yy;@"/>
    <numFmt numFmtId="168" formatCode="&quot;$&quot;#,##0"/>
    <numFmt numFmtId="169" formatCode="&quot;$&quot;#,##0.00"/>
    <numFmt numFmtId="170" formatCode="&quot;$&quot;#,##0.0000"/>
    <numFmt numFmtId="171" formatCode="_(* #,##0_);_(* \(#,##0\);_(* &quot;-&quot;??_);_(@_)"/>
    <numFmt numFmtId="172" formatCode="_(&quot;$&quot;* #,##0.0000_);_(&quot;$&quot;* \(#,##0.0000\);_(&quot;$&quot;* &quot;-&quot;??_);_(@_)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Calibri (Body)_x0000_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1" fillId="2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2" borderId="0" xfId="0" applyFont="1" applyFill="1"/>
    <xf numFmtId="0" fontId="5" fillId="2" borderId="0" xfId="0" quotePrefix="1" applyFont="1" applyFill="1"/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4" fontId="8" fillId="0" borderId="0" xfId="0" applyNumberFormat="1" applyFont="1"/>
    <xf numFmtId="164" fontId="8" fillId="0" borderId="0" xfId="3" applyNumberFormat="1" applyFont="1"/>
    <xf numFmtId="165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2" fontId="9" fillId="2" borderId="0" xfId="0" applyNumberFormat="1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1" fillId="0" borderId="0" xfId="0" applyFont="1"/>
    <xf numFmtId="164" fontId="1" fillId="0" borderId="0" xfId="3" applyNumberFormat="1" applyFont="1"/>
    <xf numFmtId="165" fontId="1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 wrapText="1"/>
    </xf>
    <xf numFmtId="10" fontId="3" fillId="2" borderId="0" xfId="0" applyNumberFormat="1" applyFont="1" applyFill="1" applyAlignment="1">
      <alignment horizontal="center" wrapText="1"/>
    </xf>
    <xf numFmtId="7" fontId="1" fillId="2" borderId="0" xfId="0" applyNumberFormat="1" applyFont="1" applyFill="1"/>
    <xf numFmtId="0" fontId="3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14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69" fontId="9" fillId="0" borderId="0" xfId="2" applyNumberFormat="1" applyFont="1" applyAlignment="1">
      <alignment horizontal="center"/>
    </xf>
    <xf numFmtId="9" fontId="9" fillId="2" borderId="0" xfId="3" applyFont="1" applyFill="1" applyAlignment="1">
      <alignment horizontal="center"/>
    </xf>
    <xf numFmtId="169" fontId="1" fillId="2" borderId="0" xfId="0" applyNumberFormat="1" applyFont="1" applyFill="1"/>
    <xf numFmtId="0" fontId="3" fillId="0" borderId="2" xfId="0" applyFont="1" applyBorder="1" applyAlignment="1">
      <alignment horizontal="right"/>
    </xf>
    <xf numFmtId="167" fontId="3" fillId="0" borderId="2" xfId="0" applyNumberFormat="1" applyFont="1" applyBorder="1" applyAlignment="1">
      <alignment horizontal="center"/>
    </xf>
    <xf numFmtId="168" fontId="3" fillId="0" borderId="2" xfId="2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9" fontId="3" fillId="0" borderId="2" xfId="2" applyNumberFormat="1" applyFont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168" fontId="3" fillId="0" borderId="0" xfId="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3" fillId="0" borderId="0" xfId="2" applyNumberFormat="1" applyFont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9" fontId="1" fillId="2" borderId="0" xfId="0" applyNumberFormat="1" applyFont="1" applyFill="1" applyBorder="1"/>
    <xf numFmtId="0" fontId="10" fillId="4" borderId="4" xfId="0" applyFont="1" applyFill="1" applyBorder="1" applyAlignment="1">
      <alignment horizontal="centerContinuous"/>
    </xf>
    <xf numFmtId="7" fontId="11" fillId="4" borderId="4" xfId="0" applyNumberFormat="1" applyFont="1" applyFill="1" applyBorder="1" applyAlignment="1">
      <alignment horizontal="centerContinuous"/>
    </xf>
    <xf numFmtId="7" fontId="1" fillId="4" borderId="4" xfId="0" applyNumberFormat="1" applyFont="1" applyFill="1" applyBorder="1" applyAlignment="1">
      <alignment horizontal="centerContinuous"/>
    </xf>
    <xf numFmtId="10" fontId="11" fillId="4" borderId="4" xfId="0" quotePrefix="1" applyNumberFormat="1" applyFont="1" applyFill="1" applyBorder="1" applyAlignment="1">
      <alignment horizontal="centerContinuous"/>
    </xf>
    <xf numFmtId="10" fontId="11" fillId="4" borderId="4" xfId="0" applyNumberFormat="1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0" borderId="0" xfId="0" applyFont="1" applyBorder="1" applyAlignment="1">
      <alignment horizontal="right" wrapText="1"/>
    </xf>
    <xf numFmtId="168" fontId="12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/>
    <xf numFmtId="0" fontId="3" fillId="0" borderId="0" xfId="0" applyFont="1" applyAlignment="1">
      <alignment horizontal="right" wrapText="1"/>
    </xf>
    <xf numFmtId="1" fontId="12" fillId="0" borderId="0" xfId="0" applyNumberFormat="1" applyFont="1" applyAlignment="1">
      <alignment horizontal="center"/>
    </xf>
    <xf numFmtId="9" fontId="12" fillId="0" borderId="3" xfId="3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4" fontId="12" fillId="0" borderId="3" xfId="0" applyNumberFormat="1" applyFont="1" applyBorder="1" applyAlignment="1">
      <alignment horizontal="center"/>
    </xf>
    <xf numFmtId="10" fontId="1" fillId="0" borderId="0" xfId="0" applyNumberFormat="1" applyFont="1"/>
    <xf numFmtId="165" fontId="11" fillId="0" borderId="0" xfId="2" applyNumberFormat="1" applyFont="1" applyFill="1"/>
    <xf numFmtId="165" fontId="11" fillId="0" borderId="0" xfId="0" applyNumberFormat="1" applyFont="1"/>
    <xf numFmtId="165" fontId="9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quotePrefix="1" applyFont="1"/>
    <xf numFmtId="168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3" fontId="1" fillId="0" borderId="0" xfId="1" applyNumberFormat="1" applyFont="1" applyFill="1" applyAlignment="1">
      <alignment horizontal="center" vertical="center"/>
    </xf>
    <xf numFmtId="0" fontId="3" fillId="0" borderId="2" xfId="0" applyFont="1" applyBorder="1"/>
    <xf numFmtId="168" fontId="3" fillId="0" borderId="2" xfId="2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3" fillId="0" borderId="2" xfId="2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0" xfId="0" applyFont="1"/>
    <xf numFmtId="168" fontId="3" fillId="0" borderId="0" xfId="2" applyNumberFormat="1" applyFont="1" applyFill="1"/>
    <xf numFmtId="44" fontId="3" fillId="0" borderId="0" xfId="2" applyFont="1" applyFill="1"/>
    <xf numFmtId="3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5" fontId="1" fillId="0" borderId="0" xfId="2" applyNumberFormat="1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171" fontId="1" fillId="0" borderId="0" xfId="1" applyNumberFormat="1" applyFont="1" applyFill="1"/>
    <xf numFmtId="166" fontId="3" fillId="0" borderId="2" xfId="0" applyNumberFormat="1" applyFont="1" applyBorder="1" applyAlignment="1">
      <alignment horizontal="center"/>
    </xf>
    <xf numFmtId="170" fontId="1" fillId="0" borderId="0" xfId="2" applyNumberFormat="1" applyFont="1" applyFill="1" applyAlignment="1">
      <alignment horizontal="center"/>
    </xf>
    <xf numFmtId="172" fontId="1" fillId="0" borderId="0" xfId="2" applyNumberFormat="1" applyFont="1" applyFill="1"/>
    <xf numFmtId="0" fontId="1" fillId="2" borderId="0" xfId="0" quotePrefix="1" applyFont="1" applyFill="1"/>
    <xf numFmtId="3" fontId="1" fillId="2" borderId="0" xfId="0" applyNumberFormat="1" applyFont="1" applyFill="1" applyBorder="1" applyAlignment="1">
      <alignment horizontal="right"/>
    </xf>
    <xf numFmtId="168" fontId="1" fillId="2" borderId="0" xfId="0" applyNumberFormat="1" applyFont="1" applyFill="1" applyBorder="1"/>
    <xf numFmtId="168" fontId="1" fillId="2" borderId="0" xfId="0" applyNumberFormat="1" applyFont="1" applyFill="1" applyAlignment="1">
      <alignment horizontal="center"/>
    </xf>
    <xf numFmtId="170" fontId="1" fillId="2" borderId="0" xfId="2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 vertical="center"/>
    </xf>
    <xf numFmtId="172" fontId="1" fillId="2" borderId="0" xfId="2" applyNumberFormat="1" applyFont="1" applyFill="1"/>
    <xf numFmtId="0" fontId="3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171" fontId="1" fillId="2" borderId="0" xfId="1" applyNumberFormat="1" applyFont="1" applyFill="1"/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" fontId="12" fillId="0" borderId="3" xfId="3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168" fontId="12" fillId="0" borderId="0" xfId="0" applyNumberFormat="1" applyFont="1" applyAlignment="1">
      <alignment horizontal="center"/>
    </xf>
    <xf numFmtId="170" fontId="1" fillId="0" borderId="0" xfId="0" applyNumberFormat="1" applyFont="1"/>
    <xf numFmtId="0" fontId="4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B753-2EF9-40EB-B565-F36650BC7B89}">
  <sheetPr codeName="Sheet2">
    <tabColor rgb="FF00B050"/>
  </sheetPr>
  <dimension ref="B2:R69"/>
  <sheetViews>
    <sheetView showGridLines="0" tabSelected="1" zoomScale="85" zoomScaleNormal="85" workbookViewId="0">
      <selection activeCell="B36" sqref="B36"/>
    </sheetView>
  </sheetViews>
  <sheetFormatPr defaultColWidth="26.42578125" defaultRowHeight="15.75"/>
  <cols>
    <col min="1" max="1" width="2" style="3" customWidth="1"/>
    <col min="2" max="2" width="30.7109375" style="3" customWidth="1"/>
    <col min="3" max="3" width="25.140625" style="3" bestFit="1" customWidth="1"/>
    <col min="4" max="4" width="26" style="3" bestFit="1" customWidth="1"/>
    <col min="5" max="5" width="26.42578125" style="3" bestFit="1" customWidth="1"/>
    <col min="6" max="6" width="18.140625" style="3" bestFit="1" customWidth="1"/>
    <col min="7" max="7" width="19.140625" style="3" bestFit="1" customWidth="1"/>
    <col min="8" max="8" width="21.7109375" style="3" customWidth="1"/>
    <col min="9" max="9" width="22.7109375" style="3" customWidth="1"/>
    <col min="10" max="10" width="20" style="3" customWidth="1"/>
    <col min="11" max="11" width="19.42578125" style="3" customWidth="1"/>
    <col min="12" max="12" width="21.7109375" style="3" customWidth="1"/>
    <col min="13" max="13" width="16.140625" style="3" bestFit="1" customWidth="1"/>
    <col min="14" max="14" width="18" style="3" bestFit="1" customWidth="1"/>
    <col min="15" max="15" width="14.7109375" style="3" bestFit="1" customWidth="1"/>
    <col min="16" max="16" width="15.28515625" style="3" customWidth="1"/>
    <col min="17" max="17" width="18.42578125" style="3" bestFit="1" customWidth="1"/>
    <col min="18" max="18" width="17.42578125" style="3" bestFit="1" customWidth="1"/>
    <col min="19" max="16384" width="26.42578125" style="3"/>
  </cols>
  <sheetData>
    <row r="2" spans="2:16">
      <c r="B2" s="1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6" customFormat="1">
      <c r="B3" s="4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s="6" customFormat="1">
      <c r="B4" s="7" t="s">
        <v>45</v>
      </c>
      <c r="C4" s="5"/>
      <c r="D4" s="5"/>
      <c r="E4" s="5"/>
      <c r="F4" s="5"/>
      <c r="G4" s="5"/>
      <c r="J4" s="5"/>
      <c r="K4" s="5"/>
      <c r="L4" s="5"/>
      <c r="M4" s="5"/>
      <c r="N4" s="5"/>
      <c r="O4" s="5"/>
      <c r="P4" s="5"/>
    </row>
    <row r="5" spans="2:16" s="6" customFormat="1">
      <c r="B5" s="7" t="s">
        <v>42</v>
      </c>
      <c r="C5" s="5"/>
      <c r="D5" s="5"/>
      <c r="E5" s="5"/>
      <c r="F5" s="5"/>
      <c r="H5" s="9" t="s">
        <v>66</v>
      </c>
      <c r="J5" s="5"/>
      <c r="K5" s="5"/>
      <c r="L5" s="5"/>
      <c r="M5" s="5"/>
      <c r="N5" s="5"/>
      <c r="O5" s="5"/>
      <c r="P5" s="5"/>
    </row>
    <row r="6" spans="2:16" s="6" customFormat="1">
      <c r="B6" s="7" t="s">
        <v>43</v>
      </c>
      <c r="C6" s="5"/>
      <c r="D6" s="5"/>
      <c r="E6" s="5"/>
      <c r="F6" s="5"/>
      <c r="H6" s="9" t="s">
        <v>67</v>
      </c>
      <c r="J6" s="5"/>
      <c r="K6" s="5"/>
      <c r="L6" s="5"/>
      <c r="M6" s="5"/>
      <c r="N6" s="5"/>
      <c r="O6" s="5"/>
      <c r="P6" s="5"/>
    </row>
    <row r="7" spans="2:16" s="6" customFormat="1">
      <c r="B7" s="139" t="s">
        <v>59</v>
      </c>
      <c r="C7" s="5"/>
      <c r="D7" s="5"/>
      <c r="E7" s="5"/>
      <c r="F7" s="5"/>
      <c r="G7" s="5"/>
      <c r="J7" s="5"/>
      <c r="K7" s="5"/>
      <c r="L7" s="5"/>
      <c r="M7" s="5"/>
      <c r="N7" s="5"/>
      <c r="O7" s="5"/>
      <c r="P7" s="5"/>
    </row>
    <row r="8" spans="2:16" s="6" customFormat="1">
      <c r="B8" s="139" t="s">
        <v>58</v>
      </c>
      <c r="C8" s="5"/>
      <c r="D8" s="5"/>
      <c r="E8" s="5"/>
      <c r="F8" s="5"/>
      <c r="G8" s="5"/>
      <c r="J8" s="5"/>
      <c r="K8" s="5"/>
      <c r="L8" s="5"/>
      <c r="M8" s="5"/>
      <c r="N8" s="5"/>
      <c r="O8" s="5"/>
      <c r="P8" s="5"/>
    </row>
    <row r="9" spans="2:16" s="6" customFormat="1">
      <c r="C9" s="5"/>
      <c r="D9" s="5"/>
      <c r="E9" s="5"/>
      <c r="F9" s="5"/>
      <c r="G9" s="5"/>
      <c r="J9" s="5"/>
      <c r="K9" s="5"/>
      <c r="L9" s="5"/>
      <c r="M9" s="5"/>
      <c r="N9" s="5"/>
      <c r="O9" s="5"/>
      <c r="P9" s="5"/>
    </row>
    <row r="10" spans="2:16" ht="31.5">
      <c r="B10" s="10" t="s">
        <v>0</v>
      </c>
      <c r="C10" s="10" t="s">
        <v>1</v>
      </c>
      <c r="D10" s="10" t="s">
        <v>64</v>
      </c>
      <c r="E10" s="10" t="s">
        <v>3</v>
      </c>
      <c r="F10" s="10" t="s">
        <v>4</v>
      </c>
      <c r="G10" s="11"/>
      <c r="H10" s="135" t="s">
        <v>53</v>
      </c>
      <c r="I10" s="136"/>
      <c r="K10" s="12"/>
      <c r="L10" s="13"/>
      <c r="M10" s="14"/>
      <c r="N10" s="15"/>
    </row>
    <row r="11" spans="2:16">
      <c r="B11" s="16" t="s">
        <v>68</v>
      </c>
      <c r="C11" s="129">
        <v>9000000</v>
      </c>
      <c r="D11" s="17"/>
      <c r="E11" s="18">
        <f>SUM(C11:D11)</f>
        <v>9000000</v>
      </c>
      <c r="F11" s="19">
        <f>E11/$E$13</f>
        <v>0.9</v>
      </c>
      <c r="G11" s="20"/>
      <c r="H11" s="132" t="s">
        <v>48</v>
      </c>
      <c r="I11" s="79">
        <v>0.1</v>
      </c>
      <c r="K11" s="23"/>
      <c r="L11" s="24"/>
      <c r="M11" s="25"/>
      <c r="N11" s="26"/>
    </row>
    <row r="12" spans="2:16">
      <c r="B12" s="27" t="s">
        <v>40</v>
      </c>
      <c r="C12" s="28"/>
      <c r="D12" s="128">
        <v>1000000</v>
      </c>
      <c r="E12" s="140">
        <f>SUM(C12:D12)</f>
        <v>1000000</v>
      </c>
      <c r="F12" s="141">
        <f>E12/$E$13</f>
        <v>0.1</v>
      </c>
      <c r="G12" s="20"/>
      <c r="H12" s="132" t="s">
        <v>49</v>
      </c>
      <c r="I12" s="71">
        <v>5000000</v>
      </c>
      <c r="K12" s="23"/>
      <c r="L12" s="24"/>
      <c r="M12" s="25"/>
      <c r="N12" s="26"/>
    </row>
    <row r="13" spans="2:16">
      <c r="B13" s="29" t="s">
        <v>5</v>
      </c>
      <c r="C13" s="30"/>
      <c r="D13" s="30"/>
      <c r="E13" s="31">
        <f>SUM(E11:E12)</f>
        <v>10000000</v>
      </c>
      <c r="F13" s="32">
        <f>SUM(F11:F12)</f>
        <v>1</v>
      </c>
      <c r="G13" s="20"/>
      <c r="H13" s="132" t="s">
        <v>51</v>
      </c>
      <c r="I13" s="79">
        <v>0.2</v>
      </c>
      <c r="K13" s="23"/>
      <c r="L13" s="24"/>
      <c r="M13" s="25"/>
      <c r="N13" s="26"/>
    </row>
    <row r="14" spans="2:16">
      <c r="G14" s="20"/>
      <c r="H14" s="133" t="s">
        <v>50</v>
      </c>
      <c r="I14" s="134">
        <v>2</v>
      </c>
      <c r="K14" s="23"/>
      <c r="L14" s="24"/>
      <c r="M14" s="25"/>
      <c r="N14" s="26"/>
    </row>
    <row r="15" spans="2:16">
      <c r="G15" s="21"/>
      <c r="H15" s="5"/>
      <c r="I15" s="5"/>
      <c r="K15" s="23"/>
      <c r="L15" s="24"/>
      <c r="M15" s="25"/>
      <c r="N15" s="26"/>
    </row>
    <row r="16" spans="2:16" ht="15" customHeight="1">
      <c r="B16" s="33" t="s">
        <v>6</v>
      </c>
      <c r="C16" s="34"/>
      <c r="D16" s="35" t="s">
        <v>54</v>
      </c>
      <c r="E16" s="35"/>
      <c r="F16" s="36"/>
      <c r="G16" s="34"/>
      <c r="H16" s="37"/>
      <c r="I16" s="38"/>
      <c r="J16" s="39"/>
      <c r="K16" s="23"/>
      <c r="L16" s="24"/>
      <c r="M16" s="25"/>
      <c r="N16" s="26"/>
    </row>
    <row r="17" spans="2:18">
      <c r="B17" s="40" t="s">
        <v>7</v>
      </c>
      <c r="C17" s="41" t="s">
        <v>8</v>
      </c>
      <c r="D17" s="41" t="s">
        <v>9</v>
      </c>
      <c r="E17" s="42" t="s">
        <v>10</v>
      </c>
      <c r="F17" s="42" t="s">
        <v>11</v>
      </c>
      <c r="G17" s="42" t="s">
        <v>12</v>
      </c>
      <c r="H17" s="42" t="s">
        <v>13</v>
      </c>
      <c r="I17" s="42" t="s">
        <v>14</v>
      </c>
      <c r="J17" s="43" t="s">
        <v>15</v>
      </c>
    </row>
    <row r="18" spans="2:18">
      <c r="B18" s="16" t="s">
        <v>61</v>
      </c>
      <c r="C18" s="130">
        <v>44743</v>
      </c>
      <c r="D18" s="44">
        <f>C18+($I$14*365)</f>
        <v>45473</v>
      </c>
      <c r="E18" s="137">
        <v>100000</v>
      </c>
      <c r="F18" s="45">
        <f>$I$11</f>
        <v>0.1</v>
      </c>
      <c r="G18" s="46">
        <f>ROUND(E18*(F18*((K23-C18)/365)),2)</f>
        <v>10000</v>
      </c>
      <c r="H18" s="46">
        <f>SUM(E18,G18)</f>
        <v>110000</v>
      </c>
      <c r="I18" s="47">
        <f>$I$12</f>
        <v>5000000</v>
      </c>
      <c r="J18" s="48">
        <f>$I$13</f>
        <v>0.2</v>
      </c>
    </row>
    <row r="19" spans="2:18">
      <c r="B19" s="50" t="s">
        <v>5</v>
      </c>
      <c r="C19" s="51"/>
      <c r="D19" s="51"/>
      <c r="E19" s="52">
        <f>SUM(E18:E18)</f>
        <v>100000</v>
      </c>
      <c r="F19" s="53"/>
      <c r="G19" s="54">
        <f>SUM(G18:G18)</f>
        <v>10000</v>
      </c>
      <c r="H19" s="54">
        <f>SUM(H18:H18)</f>
        <v>110000</v>
      </c>
      <c r="I19" s="53"/>
      <c r="J19" s="55"/>
      <c r="O19" s="49"/>
    </row>
    <row r="20" spans="2:18">
      <c r="B20" s="56"/>
      <c r="C20" s="57"/>
      <c r="D20" s="57"/>
      <c r="E20" s="58"/>
      <c r="F20" s="59"/>
      <c r="G20" s="60"/>
      <c r="H20" s="60"/>
      <c r="I20" s="59"/>
      <c r="J20" s="61"/>
      <c r="K20" s="62"/>
      <c r="L20" s="62"/>
      <c r="M20" s="62"/>
      <c r="N20" s="62"/>
      <c r="O20" s="63"/>
      <c r="P20" s="62"/>
    </row>
    <row r="21" spans="2:18" s="23" customFormat="1">
      <c r="B21" s="64" t="s">
        <v>55</v>
      </c>
      <c r="C21" s="65"/>
      <c r="D21" s="66"/>
      <c r="E21" s="67"/>
      <c r="F21" s="67"/>
      <c r="G21" s="67"/>
      <c r="H21" s="68"/>
      <c r="I21" s="66"/>
      <c r="J21" s="69"/>
      <c r="K21" s="69"/>
      <c r="L21" s="69"/>
      <c r="M21" s="69"/>
      <c r="N21" s="69"/>
      <c r="O21" s="69"/>
      <c r="P21" s="69"/>
    </row>
    <row r="22" spans="2:18" s="23" customFormat="1" ht="18">
      <c r="B22" s="70" t="s">
        <v>17</v>
      </c>
      <c r="C22" s="71">
        <v>2000000</v>
      </c>
      <c r="D22" s="70" t="s">
        <v>18</v>
      </c>
      <c r="E22" s="71">
        <v>8000000</v>
      </c>
      <c r="F22" s="62"/>
      <c r="G22" s="72"/>
      <c r="H22" s="72"/>
      <c r="I22" s="73" t="s">
        <v>52</v>
      </c>
      <c r="J22" s="74"/>
      <c r="K22" s="74"/>
      <c r="L22" s="75"/>
      <c r="M22" s="75"/>
      <c r="N22" s="75"/>
      <c r="O22" s="75"/>
      <c r="P22" s="75"/>
      <c r="Q22" s="76"/>
      <c r="R22" s="76"/>
    </row>
    <row r="23" spans="2:18" s="23" customFormat="1" ht="15" customHeight="1">
      <c r="B23" s="77"/>
      <c r="C23" s="78"/>
      <c r="D23" s="81" t="s">
        <v>62</v>
      </c>
      <c r="E23" s="79">
        <v>0.1</v>
      </c>
      <c r="F23" s="3"/>
      <c r="G23" s="77"/>
      <c r="H23" s="80"/>
      <c r="J23" s="81" t="s">
        <v>19</v>
      </c>
      <c r="K23" s="82">
        <v>45108</v>
      </c>
      <c r="N23" s="35"/>
      <c r="O23" s="36"/>
      <c r="P23" s="34"/>
      <c r="R23" s="83"/>
    </row>
    <row r="24" spans="2:18" s="23" customFormat="1">
      <c r="B24" s="76"/>
      <c r="C24" s="81"/>
      <c r="D24" s="84"/>
      <c r="E24" s="81"/>
      <c r="F24" s="85"/>
      <c r="G24" s="85"/>
      <c r="H24" s="85"/>
      <c r="J24" s="86" t="s">
        <v>20</v>
      </c>
      <c r="K24" s="87">
        <f ca="1">SUM(F26:F27)</f>
        <v>10318158</v>
      </c>
      <c r="L24" s="138"/>
      <c r="M24" s="88"/>
      <c r="N24" s="35"/>
      <c r="O24" s="36"/>
      <c r="P24" s="34"/>
      <c r="R24" s="83"/>
    </row>
    <row r="25" spans="2:18" s="23" customFormat="1" ht="33.75">
      <c r="B25" s="89" t="str">
        <f>B10</f>
        <v>Name</v>
      </c>
      <c r="C25" s="40" t="str">
        <f>C10</f>
        <v>Common &amp; Restricted</v>
      </c>
      <c r="D25" s="40" t="str">
        <f>D10</f>
        <v xml:space="preserve">Common Options </v>
      </c>
      <c r="E25" s="40" t="s">
        <v>21</v>
      </c>
      <c r="F25" s="40" t="str">
        <f>E10</f>
        <v>Fully-Diluted Shares</v>
      </c>
      <c r="G25" s="40" t="str">
        <f>F10</f>
        <v>Fully-Diluted Ownership</v>
      </c>
      <c r="I25" s="40" t="str">
        <f>B17</f>
        <v>Investor</v>
      </c>
      <c r="J25" s="41" t="str">
        <f>C17</f>
        <v>Note Date</v>
      </c>
      <c r="K25" s="42" t="str">
        <f>E17</f>
        <v>Principal Balance</v>
      </c>
      <c r="L25" s="42" t="str">
        <f>F17</f>
        <v>Interest Rate</v>
      </c>
      <c r="M25" s="90" t="s">
        <v>12</v>
      </c>
      <c r="N25" s="40" t="s">
        <v>22</v>
      </c>
      <c r="O25" s="40" t="s">
        <v>69</v>
      </c>
      <c r="P25" s="40" t="s">
        <v>24</v>
      </c>
    </row>
    <row r="26" spans="2:18" s="23" customFormat="1">
      <c r="B26" s="23" t="str">
        <f>B11</f>
        <v>Founders</v>
      </c>
      <c r="C26" s="91">
        <f>C11</f>
        <v>9000000</v>
      </c>
      <c r="D26" s="91">
        <f>D11</f>
        <v>0</v>
      </c>
      <c r="E26" s="17"/>
      <c r="F26" s="91">
        <f>SUM(C26:E26)</f>
        <v>9000000</v>
      </c>
      <c r="G26" s="92">
        <f ca="1">F26/$F$32</f>
        <v>0.68277075046519442</v>
      </c>
      <c r="H26" s="93"/>
      <c r="I26" s="23" t="str">
        <f>B18</f>
        <v>Annie Angel Investor</v>
      </c>
      <c r="J26" s="44">
        <f>C18</f>
        <v>44743</v>
      </c>
      <c r="K26" s="94">
        <f>E18</f>
        <v>100000</v>
      </c>
      <c r="L26" s="95">
        <f>F18</f>
        <v>0.1</v>
      </c>
      <c r="M26" s="46">
        <f>K26*(L26*(($K$23-J26)/365))</f>
        <v>10000</v>
      </c>
      <c r="N26" s="96">
        <f>SUM(M26+K26)</f>
        <v>110000</v>
      </c>
      <c r="O26" s="97">
        <f ca="1">ROUND(MIN($K$32*(1-J18),I18/$K$24),4)</f>
        <v>0.48459999999999998</v>
      </c>
      <c r="P26" s="98">
        <f ca="1">ROUNDDOWN(N26/O26,0)</f>
        <v>226991</v>
      </c>
    </row>
    <row r="27" spans="2:18" s="23" customFormat="1">
      <c r="B27" s="110" t="s">
        <v>40</v>
      </c>
      <c r="C27" s="142"/>
      <c r="D27" s="142">
        <f ca="1">IFERROR(ROUNDDOWN(E23*F32,0),D12)</f>
        <v>1318158</v>
      </c>
      <c r="E27" s="143"/>
      <c r="F27" s="142">
        <f t="shared" ref="F27:F28" ca="1" si="0">SUM(C27:E27)</f>
        <v>1318158</v>
      </c>
      <c r="G27" s="144">
        <f ca="1">F27/$F$32</f>
        <v>9.9999969654633314E-2</v>
      </c>
      <c r="I27" s="99"/>
      <c r="J27" s="99"/>
      <c r="K27" s="100">
        <f>SUM(K26:K26)</f>
        <v>100000</v>
      </c>
      <c r="L27" s="101"/>
      <c r="M27" s="102">
        <f>SUM(M26:M26)</f>
        <v>10000</v>
      </c>
      <c r="N27" s="102">
        <f>SUM(N26:N26)</f>
        <v>110000</v>
      </c>
      <c r="O27" s="101"/>
      <c r="P27" s="103">
        <f ca="1">SUM(P26:P26)</f>
        <v>226991</v>
      </c>
    </row>
    <row r="28" spans="2:18" s="23" customFormat="1" ht="18">
      <c r="B28" s="23" t="s">
        <v>65</v>
      </c>
      <c r="C28" s="91"/>
      <c r="D28" s="91"/>
      <c r="E28" s="91">
        <f ca="1">IFERROR(P27,0)</f>
        <v>226991</v>
      </c>
      <c r="F28" s="91">
        <f t="shared" ca="1" si="0"/>
        <v>226991</v>
      </c>
      <c r="G28" s="92">
        <f ca="1">F28/$F$32</f>
        <v>1.7220312824316106E-2</v>
      </c>
      <c r="I28" s="3" t="s">
        <v>47</v>
      </c>
      <c r="J28" s="104"/>
      <c r="K28" s="105"/>
      <c r="M28" s="106"/>
      <c r="N28" s="106"/>
    </row>
    <row r="29" spans="2:18" s="23" customFormat="1" ht="18">
      <c r="C29" s="26"/>
      <c r="D29" s="26"/>
      <c r="E29" s="34" t="s">
        <v>26</v>
      </c>
      <c r="F29" s="107">
        <f ca="1">SUM(F26:F28)</f>
        <v>10545149</v>
      </c>
      <c r="G29" s="108">
        <f ca="1">SUM(G26:G28)</f>
        <v>0.79999103294414387</v>
      </c>
      <c r="I29" s="23" t="s">
        <v>70</v>
      </c>
      <c r="M29" s="106"/>
      <c r="N29" s="106"/>
    </row>
    <row r="30" spans="2:18" s="23" customFormat="1">
      <c r="C30" s="26"/>
      <c r="D30" s="26"/>
      <c r="E30" s="17"/>
      <c r="F30" s="26"/>
      <c r="G30" s="26"/>
      <c r="I30" s="145" t="s">
        <v>57</v>
      </c>
      <c r="J30" s="145"/>
      <c r="K30" s="145"/>
      <c r="L30" s="145"/>
      <c r="N30" s="109"/>
    </row>
    <row r="31" spans="2:18" s="23" customFormat="1">
      <c r="B31" s="110" t="s">
        <v>56</v>
      </c>
      <c r="C31" s="91"/>
      <c r="D31" s="91"/>
      <c r="E31" s="91">
        <f ca="1">L32</f>
        <v>2636435</v>
      </c>
      <c r="F31" s="91">
        <f ca="1">E31</f>
        <v>2636435</v>
      </c>
      <c r="G31" s="92">
        <f ca="1">F31/$F$32</f>
        <v>0.20000896705585611</v>
      </c>
      <c r="I31" s="111" t="s">
        <v>28</v>
      </c>
      <c r="J31" s="111" t="s">
        <v>29</v>
      </c>
      <c r="K31" s="111" t="s">
        <v>30</v>
      </c>
      <c r="L31" s="111" t="s">
        <v>31</v>
      </c>
      <c r="N31" s="112"/>
    </row>
    <row r="32" spans="2:18" s="23" customFormat="1">
      <c r="B32" s="34" t="s">
        <v>32</v>
      </c>
      <c r="C32" s="53">
        <f>SUM(C26:C31)</f>
        <v>9000000</v>
      </c>
      <c r="D32" s="53">
        <f ca="1">SUM(D26:D31)</f>
        <v>1318158</v>
      </c>
      <c r="E32" s="53">
        <f ca="1">SUM(E26:E31)</f>
        <v>2863426</v>
      </c>
      <c r="F32" s="53">
        <f ca="1">SUM(F29:F31)</f>
        <v>13181584</v>
      </c>
      <c r="G32" s="113">
        <f ca="1">SUM(G29:G31)</f>
        <v>1</v>
      </c>
      <c r="I32" s="94">
        <f>C22</f>
        <v>2000000</v>
      </c>
      <c r="J32" s="94">
        <f>E22</f>
        <v>8000000</v>
      </c>
      <c r="K32" s="114">
        <f ca="1">IFERROR(ROUND(J32/F29,4),1)</f>
        <v>0.75860000000000005</v>
      </c>
      <c r="L32" s="98">
        <f ca="1">ROUNDDOWN(I32/K32,0)</f>
        <v>2636435</v>
      </c>
      <c r="N32" s="115"/>
    </row>
    <row r="33" spans="2:16" s="23" customFormat="1">
      <c r="B33" s="116"/>
      <c r="C33" s="62"/>
      <c r="D33" s="117"/>
      <c r="E33" s="117"/>
      <c r="F33" s="117"/>
      <c r="G33" s="118"/>
      <c r="I33" s="119"/>
      <c r="J33" s="119"/>
      <c r="K33" s="120"/>
      <c r="L33" s="121"/>
      <c r="M33" s="3"/>
      <c r="N33" s="122"/>
      <c r="O33" s="3"/>
      <c r="P33" s="3"/>
    </row>
    <row r="34" spans="2:16" s="23" customFormat="1">
      <c r="B34" s="3"/>
      <c r="C34" s="62"/>
      <c r="D34" s="123"/>
      <c r="E34" s="124"/>
      <c r="F34" s="62"/>
      <c r="G34" s="62"/>
      <c r="H34" s="93"/>
      <c r="I34" s="3"/>
      <c r="J34" s="3"/>
      <c r="K34" s="3"/>
      <c r="L34" s="3"/>
      <c r="M34" s="22"/>
      <c r="N34" s="3"/>
      <c r="O34" s="3"/>
      <c r="P34" s="125"/>
    </row>
    <row r="35" spans="2:16">
      <c r="B35" s="116" t="s">
        <v>71</v>
      </c>
      <c r="C35" s="62"/>
      <c r="D35" s="126"/>
      <c r="E35" s="127"/>
      <c r="F35" s="62"/>
      <c r="G35" s="62"/>
      <c r="H35" s="116"/>
    </row>
    <row r="36" spans="2:16">
      <c r="C36" s="62"/>
      <c r="D36" s="62"/>
      <c r="E36" s="62"/>
      <c r="F36" s="62"/>
      <c r="G36" s="62"/>
    </row>
    <row r="37" spans="2:16">
      <c r="C37" s="62"/>
      <c r="D37" s="62"/>
      <c r="E37" s="62"/>
      <c r="F37" s="62"/>
      <c r="G37" s="62"/>
    </row>
    <row r="38" spans="2:16">
      <c r="C38" s="62"/>
      <c r="D38" s="62"/>
      <c r="E38" s="62"/>
      <c r="F38" s="62"/>
      <c r="G38" s="62"/>
    </row>
    <row r="69" ht="14.45" customHeight="1"/>
  </sheetData>
  <conditionalFormatting sqref="D27">
    <cfRule type="cellIs" dxfId="3" priority="2" operator="equal">
      <formula>0</formula>
    </cfRule>
  </conditionalFormatting>
  <conditionalFormatting sqref="K32">
    <cfRule type="cellIs" dxfId="2" priority="1" operator="equal">
      <formula>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5ED8-A4B9-45B4-B112-E90BFA9A6349}">
  <sheetPr codeName="Sheet1">
    <tabColor rgb="FF00B050"/>
  </sheetPr>
  <dimension ref="B2:R72"/>
  <sheetViews>
    <sheetView showGridLines="0" zoomScale="85" zoomScaleNormal="85" workbookViewId="0">
      <selection activeCell="K27" sqref="K27"/>
    </sheetView>
  </sheetViews>
  <sheetFormatPr defaultColWidth="26.42578125" defaultRowHeight="15.75"/>
  <cols>
    <col min="1" max="1" width="2" style="3" customWidth="1"/>
    <col min="2" max="2" width="30.7109375" style="3" customWidth="1"/>
    <col min="3" max="3" width="25.140625" style="3" bestFit="1" customWidth="1"/>
    <col min="4" max="4" width="26.140625" style="3" customWidth="1"/>
    <col min="5" max="5" width="26.42578125" style="3" bestFit="1" customWidth="1"/>
    <col min="6" max="6" width="18.140625" style="3" bestFit="1" customWidth="1"/>
    <col min="7" max="7" width="19.140625" style="3" bestFit="1" customWidth="1"/>
    <col min="8" max="8" width="21.7109375" style="3" customWidth="1"/>
    <col min="9" max="9" width="22.7109375" style="3" customWidth="1"/>
    <col min="10" max="10" width="20" style="3" customWidth="1"/>
    <col min="11" max="11" width="19.42578125" style="3" customWidth="1"/>
    <col min="12" max="12" width="21.7109375" style="3" customWidth="1"/>
    <col min="13" max="13" width="16.140625" style="3" bestFit="1" customWidth="1"/>
    <col min="14" max="14" width="18" style="3" bestFit="1" customWidth="1"/>
    <col min="15" max="15" width="14.7109375" style="3" bestFit="1" customWidth="1"/>
    <col min="16" max="16" width="15.28515625" style="3" customWidth="1"/>
    <col min="17" max="17" width="18.42578125" style="3" bestFit="1" customWidth="1"/>
    <col min="18" max="18" width="17.42578125" style="3" bestFit="1" customWidth="1"/>
    <col min="19" max="16384" width="26.42578125" style="3"/>
  </cols>
  <sheetData>
    <row r="2" spans="2:16"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6" customFormat="1">
      <c r="B3" s="4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s="6" customFormat="1">
      <c r="B4" s="7" t="s">
        <v>45</v>
      </c>
      <c r="C4" s="5"/>
      <c r="D4" s="5"/>
      <c r="E4" s="5"/>
      <c r="F4" s="5"/>
      <c r="G4" s="5"/>
      <c r="J4" s="5"/>
      <c r="K4" s="5"/>
      <c r="L4" s="5"/>
      <c r="M4" s="5"/>
      <c r="N4" s="5"/>
      <c r="O4" s="5"/>
      <c r="P4" s="5"/>
    </row>
    <row r="5" spans="2:16" s="6" customFormat="1">
      <c r="B5" s="7" t="s">
        <v>42</v>
      </c>
      <c r="C5" s="5"/>
      <c r="D5" s="5"/>
      <c r="E5" s="5"/>
      <c r="F5" s="5"/>
      <c r="H5" s="9" t="s">
        <v>44</v>
      </c>
      <c r="J5" s="5"/>
      <c r="K5" s="5"/>
      <c r="L5" s="5"/>
      <c r="M5" s="5"/>
      <c r="N5" s="5"/>
      <c r="O5" s="5"/>
      <c r="P5" s="5"/>
    </row>
    <row r="6" spans="2:16" s="6" customFormat="1">
      <c r="B6" s="7" t="s">
        <v>43</v>
      </c>
      <c r="C6" s="5"/>
      <c r="D6" s="5"/>
      <c r="E6" s="5"/>
      <c r="F6" s="5"/>
      <c r="H6" s="9" t="s">
        <v>60</v>
      </c>
      <c r="J6" s="5"/>
      <c r="K6" s="5"/>
      <c r="L6" s="5"/>
      <c r="M6" s="5"/>
      <c r="N6" s="5"/>
      <c r="O6" s="5"/>
      <c r="P6" s="5"/>
    </row>
    <row r="7" spans="2:16" s="6" customFormat="1">
      <c r="B7" s="8" t="s">
        <v>59</v>
      </c>
      <c r="C7" s="5"/>
      <c r="D7" s="5"/>
      <c r="E7" s="5"/>
      <c r="F7" s="5"/>
      <c r="G7" s="5"/>
      <c r="J7" s="5"/>
      <c r="K7" s="5"/>
      <c r="L7" s="5"/>
      <c r="M7" s="5"/>
      <c r="N7" s="5"/>
      <c r="O7" s="5"/>
      <c r="P7" s="5"/>
    </row>
    <row r="8" spans="2:16" s="6" customFormat="1">
      <c r="B8" s="8" t="s">
        <v>58</v>
      </c>
      <c r="C8" s="5"/>
      <c r="D8" s="5"/>
      <c r="E8" s="5"/>
      <c r="F8" s="5"/>
      <c r="G8" s="5"/>
      <c r="J8" s="5"/>
      <c r="K8" s="5"/>
      <c r="L8" s="5"/>
      <c r="M8" s="5"/>
      <c r="N8" s="5"/>
      <c r="O8" s="5"/>
      <c r="P8" s="5"/>
    </row>
    <row r="9" spans="2:16" s="6" customFormat="1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31.5"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1"/>
      <c r="H10" s="135" t="s">
        <v>53</v>
      </c>
      <c r="I10" s="136"/>
      <c r="K10" s="12"/>
      <c r="L10" s="13"/>
      <c r="M10" s="14"/>
      <c r="N10" s="15"/>
    </row>
    <row r="11" spans="2:16">
      <c r="B11" s="16" t="s">
        <v>33</v>
      </c>
      <c r="C11" s="129">
        <v>3000000</v>
      </c>
      <c r="D11" s="17"/>
      <c r="E11" s="18">
        <f>SUM(C11:D11)</f>
        <v>3000000</v>
      </c>
      <c r="F11" s="19">
        <f>E11/$E$15</f>
        <v>0.3</v>
      </c>
      <c r="G11" s="20"/>
      <c r="H11" s="132" t="s">
        <v>48</v>
      </c>
      <c r="I11" s="79">
        <v>0.1</v>
      </c>
      <c r="K11" s="23"/>
      <c r="L11" s="24"/>
      <c r="M11" s="25"/>
      <c r="N11" s="26"/>
    </row>
    <row r="12" spans="2:16">
      <c r="B12" s="16" t="s">
        <v>34</v>
      </c>
      <c r="C12" s="129">
        <v>3000000</v>
      </c>
      <c r="D12" s="17"/>
      <c r="E12" s="18">
        <f t="shared" ref="E12:E14" si="0">SUM(C12:D12)</f>
        <v>3000000</v>
      </c>
      <c r="F12" s="19">
        <f>E12/$E$15</f>
        <v>0.3</v>
      </c>
      <c r="G12" s="20"/>
      <c r="H12" s="132" t="s">
        <v>49</v>
      </c>
      <c r="I12" s="71">
        <v>5000000</v>
      </c>
      <c r="K12" s="23"/>
      <c r="L12" s="24"/>
      <c r="M12" s="25"/>
      <c r="N12" s="26"/>
    </row>
    <row r="13" spans="2:16">
      <c r="B13" s="16" t="s">
        <v>35</v>
      </c>
      <c r="C13" s="129">
        <v>3000000</v>
      </c>
      <c r="D13" s="17"/>
      <c r="E13" s="18">
        <f t="shared" si="0"/>
        <v>3000000</v>
      </c>
      <c r="F13" s="19">
        <f>E13/$E$15</f>
        <v>0.3</v>
      </c>
      <c r="G13" s="20"/>
      <c r="H13" s="132" t="s">
        <v>51</v>
      </c>
      <c r="I13" s="79">
        <v>0.2</v>
      </c>
      <c r="K13" s="23"/>
      <c r="L13" s="24"/>
      <c r="M13" s="25"/>
      <c r="N13" s="26"/>
    </row>
    <row r="14" spans="2:16">
      <c r="B14" s="27" t="s">
        <v>40</v>
      </c>
      <c r="C14" s="28"/>
      <c r="D14" s="128">
        <v>1000000</v>
      </c>
      <c r="E14" s="18">
        <f t="shared" si="0"/>
        <v>1000000</v>
      </c>
      <c r="F14" s="19">
        <f>E14/$E$15</f>
        <v>0.1</v>
      </c>
      <c r="G14" s="20"/>
      <c r="H14" s="133" t="s">
        <v>50</v>
      </c>
      <c r="I14" s="134">
        <v>2</v>
      </c>
      <c r="K14" s="23"/>
      <c r="L14" s="24"/>
      <c r="M14" s="25"/>
      <c r="N14" s="26"/>
    </row>
    <row r="15" spans="2:16">
      <c r="B15" s="29" t="s">
        <v>5</v>
      </c>
      <c r="C15" s="30"/>
      <c r="D15" s="30"/>
      <c r="E15" s="31">
        <f>SUM(E11:E14)</f>
        <v>10000000</v>
      </c>
      <c r="F15" s="32">
        <f>SUM(F11:F14)</f>
        <v>0.99999999999999989</v>
      </c>
      <c r="G15" s="21"/>
      <c r="H15" s="21"/>
      <c r="I15" s="131"/>
      <c r="K15" s="23"/>
      <c r="L15" s="24"/>
      <c r="M15" s="25"/>
      <c r="N15" s="26"/>
    </row>
    <row r="16" spans="2:16">
      <c r="F16" s="22"/>
      <c r="G16" s="22"/>
      <c r="H16" s="22"/>
      <c r="J16" s="23"/>
      <c r="K16" s="24"/>
      <c r="L16" s="25"/>
      <c r="M16" s="26"/>
    </row>
    <row r="17" spans="2:18" ht="15" customHeight="1">
      <c r="B17" s="33" t="s">
        <v>6</v>
      </c>
      <c r="C17" s="34"/>
      <c r="D17" s="35" t="s">
        <v>54</v>
      </c>
      <c r="E17" s="35"/>
      <c r="F17" s="36"/>
      <c r="G17" s="34"/>
      <c r="H17" s="37"/>
      <c r="I17" s="38"/>
      <c r="J17" s="39"/>
      <c r="K17" s="23"/>
      <c r="L17" s="24"/>
      <c r="M17" s="25"/>
      <c r="N17" s="26"/>
    </row>
    <row r="18" spans="2:18">
      <c r="B18" s="40" t="s">
        <v>7</v>
      </c>
      <c r="C18" s="41" t="s">
        <v>8</v>
      </c>
      <c r="D18" s="41" t="s">
        <v>9</v>
      </c>
      <c r="E18" s="42" t="s">
        <v>10</v>
      </c>
      <c r="F18" s="42" t="s">
        <v>11</v>
      </c>
      <c r="G18" s="42" t="s">
        <v>12</v>
      </c>
      <c r="H18" s="42" t="s">
        <v>13</v>
      </c>
      <c r="I18" s="42" t="s">
        <v>14</v>
      </c>
      <c r="J18" s="43" t="s">
        <v>15</v>
      </c>
    </row>
    <row r="19" spans="2:18">
      <c r="B19" s="16" t="s">
        <v>36</v>
      </c>
      <c r="C19" s="130">
        <v>44562</v>
      </c>
      <c r="D19" s="44">
        <f>C19+($I$14*365)</f>
        <v>45292</v>
      </c>
      <c r="E19" s="137">
        <v>50000</v>
      </c>
      <c r="F19" s="45">
        <f>$I$11</f>
        <v>0.1</v>
      </c>
      <c r="G19" s="46">
        <f ca="1">ROUND(E19*(F19*((TODAY()-C19)/365)),2)</f>
        <v>808.22</v>
      </c>
      <c r="H19" s="46">
        <f ca="1">SUM(E19,G19)</f>
        <v>50808.22</v>
      </c>
      <c r="I19" s="47">
        <f>$I$12</f>
        <v>5000000</v>
      </c>
      <c r="J19" s="48">
        <f>$I$13</f>
        <v>0.2</v>
      </c>
    </row>
    <row r="20" spans="2:18">
      <c r="B20" s="16" t="s">
        <v>37</v>
      </c>
      <c r="C20" s="130">
        <v>44562</v>
      </c>
      <c r="D20" s="44">
        <f>C20+($I$14*365)</f>
        <v>45292</v>
      </c>
      <c r="E20" s="137">
        <v>100000</v>
      </c>
      <c r="F20" s="45">
        <f>$I$11</f>
        <v>0.1</v>
      </c>
      <c r="G20" s="46">
        <f t="shared" ref="G20:G21" ca="1" si="1">ROUND(E20*(F20*((TODAY()-C20)/365)),2)</f>
        <v>1616.44</v>
      </c>
      <c r="H20" s="46">
        <f ca="1">SUM(E20,G20)</f>
        <v>101616.44</v>
      </c>
      <c r="I20" s="47">
        <v>5000000</v>
      </c>
      <c r="J20" s="48">
        <f>$I$13</f>
        <v>0.2</v>
      </c>
      <c r="O20" s="49"/>
    </row>
    <row r="21" spans="2:18">
      <c r="B21" s="16" t="s">
        <v>38</v>
      </c>
      <c r="C21" s="130">
        <v>44562</v>
      </c>
      <c r="D21" s="44">
        <f>C21+($I$14*365)</f>
        <v>45292</v>
      </c>
      <c r="E21" s="137">
        <v>200000</v>
      </c>
      <c r="F21" s="45">
        <f>$I$11</f>
        <v>0.1</v>
      </c>
      <c r="G21" s="46">
        <f t="shared" ca="1" si="1"/>
        <v>3232.88</v>
      </c>
      <c r="H21" s="46">
        <f ca="1">SUM(E21,G21)</f>
        <v>203232.88</v>
      </c>
      <c r="I21" s="47">
        <v>5000000</v>
      </c>
      <c r="J21" s="48">
        <f>$I$13</f>
        <v>0.2</v>
      </c>
      <c r="O21" s="49"/>
    </row>
    <row r="22" spans="2:18">
      <c r="B22" s="50" t="s">
        <v>5</v>
      </c>
      <c r="C22" s="51"/>
      <c r="D22" s="51"/>
      <c r="E22" s="52">
        <f>SUM(E19:E21)</f>
        <v>350000</v>
      </c>
      <c r="F22" s="53"/>
      <c r="G22" s="54">
        <f ca="1">SUM(G19:G21)</f>
        <v>5657.54</v>
      </c>
      <c r="H22" s="54">
        <f ca="1">SUM(H19:H21)</f>
        <v>355657.54000000004</v>
      </c>
      <c r="I22" s="53"/>
      <c r="J22" s="55"/>
      <c r="O22" s="49"/>
    </row>
    <row r="23" spans="2:18">
      <c r="B23" s="56"/>
      <c r="C23" s="57"/>
      <c r="D23" s="57"/>
      <c r="E23" s="58"/>
      <c r="F23" s="59"/>
      <c r="G23" s="60"/>
      <c r="H23" s="60"/>
      <c r="I23" s="59"/>
      <c r="J23" s="61"/>
      <c r="K23" s="62"/>
      <c r="L23" s="62"/>
      <c r="M23" s="62"/>
      <c r="N23" s="62"/>
      <c r="O23" s="63"/>
      <c r="P23" s="62"/>
    </row>
    <row r="24" spans="2:18" s="23" customFormat="1">
      <c r="B24" s="64" t="s">
        <v>16</v>
      </c>
      <c r="C24" s="65"/>
      <c r="D24" s="66"/>
      <c r="E24" s="67"/>
      <c r="F24" s="67"/>
      <c r="G24" s="67"/>
      <c r="H24" s="68"/>
      <c r="I24" s="66"/>
      <c r="J24" s="69"/>
      <c r="K24" s="69"/>
      <c r="L24" s="69"/>
      <c r="M24" s="69"/>
      <c r="N24" s="69"/>
      <c r="O24" s="69"/>
      <c r="P24" s="69"/>
    </row>
    <row r="25" spans="2:18" s="23" customFormat="1" ht="18">
      <c r="B25" s="70" t="s">
        <v>17</v>
      </c>
      <c r="C25" s="71">
        <v>3000000</v>
      </c>
      <c r="D25" s="70" t="s">
        <v>18</v>
      </c>
      <c r="E25" s="71">
        <v>9000000</v>
      </c>
      <c r="F25" s="62"/>
      <c r="G25" s="72"/>
      <c r="H25" s="72"/>
      <c r="I25" s="73" t="s">
        <v>52</v>
      </c>
      <c r="J25" s="74"/>
      <c r="K25" s="74"/>
      <c r="L25" s="75"/>
      <c r="M25" s="75"/>
      <c r="N25" s="75"/>
      <c r="O25" s="75"/>
      <c r="P25" s="75"/>
      <c r="Q25" s="76"/>
      <c r="R25" s="76"/>
    </row>
    <row r="26" spans="2:18" s="23" customFormat="1" ht="15" customHeight="1">
      <c r="B26" s="77"/>
      <c r="C26" s="78"/>
      <c r="D26" s="81" t="s">
        <v>62</v>
      </c>
      <c r="E26" s="79">
        <v>0.1</v>
      </c>
      <c r="F26" s="3"/>
      <c r="G26" s="77"/>
      <c r="H26" s="80"/>
      <c r="J26" s="81" t="s">
        <v>19</v>
      </c>
      <c r="K26" s="82">
        <v>45108</v>
      </c>
      <c r="N26" s="35"/>
      <c r="O26" s="36"/>
      <c r="P26" s="34"/>
      <c r="R26" s="83"/>
    </row>
    <row r="27" spans="2:18" s="23" customFormat="1">
      <c r="B27" s="76"/>
      <c r="C27" s="81"/>
      <c r="D27" s="84"/>
      <c r="E27" s="81"/>
      <c r="F27" s="85"/>
      <c r="G27" s="85"/>
      <c r="H27" s="85"/>
      <c r="J27" s="86" t="s">
        <v>20</v>
      </c>
      <c r="K27" s="87">
        <f ca="1">SUM(F29:F32)</f>
        <v>10514788</v>
      </c>
      <c r="M27" s="88"/>
      <c r="N27" s="35"/>
      <c r="O27" s="36"/>
      <c r="P27" s="34"/>
      <c r="R27" s="83"/>
    </row>
    <row r="28" spans="2:18" s="23" customFormat="1" ht="31.5">
      <c r="B28" s="89" t="str">
        <f t="shared" ref="B28:D31" si="2">B10</f>
        <v>Name</v>
      </c>
      <c r="C28" s="40" t="str">
        <f t="shared" si="2"/>
        <v>Common &amp; Restricted</v>
      </c>
      <c r="D28" s="40" t="str">
        <f t="shared" si="2"/>
        <v>Common Options &amp; Warrants</v>
      </c>
      <c r="E28" s="40" t="s">
        <v>21</v>
      </c>
      <c r="F28" s="40" t="str">
        <f>E10</f>
        <v>Fully-Diluted Shares</v>
      </c>
      <c r="G28" s="40" t="str">
        <f>F10</f>
        <v>Fully-Diluted Ownership</v>
      </c>
      <c r="I28" s="40" t="str">
        <f>B18</f>
        <v>Investor</v>
      </c>
      <c r="J28" s="41" t="str">
        <f t="shared" ref="J28:J31" si="3">C18</f>
        <v>Note Date</v>
      </c>
      <c r="K28" s="42" t="str">
        <f t="shared" ref="K28:L31" si="4">E18</f>
        <v>Principal Balance</v>
      </c>
      <c r="L28" s="42" t="str">
        <f t="shared" si="4"/>
        <v>Interest Rate</v>
      </c>
      <c r="M28" s="90" t="s">
        <v>12</v>
      </c>
      <c r="N28" s="40" t="s">
        <v>22</v>
      </c>
      <c r="O28" s="40" t="s">
        <v>23</v>
      </c>
      <c r="P28" s="40" t="s">
        <v>24</v>
      </c>
    </row>
    <row r="29" spans="2:18" s="23" customFormat="1">
      <c r="B29" s="23" t="str">
        <f t="shared" si="2"/>
        <v>Founder A</v>
      </c>
      <c r="C29" s="91">
        <f t="shared" si="2"/>
        <v>3000000</v>
      </c>
      <c r="D29" s="91">
        <f t="shared" si="2"/>
        <v>0</v>
      </c>
      <c r="E29" s="17"/>
      <c r="F29" s="91">
        <f>SUM(C29:E29)</f>
        <v>3000000</v>
      </c>
      <c r="G29" s="92">
        <f ca="1">F29/$F$37</f>
        <v>0.19804746326285572</v>
      </c>
      <c r="H29" s="93"/>
      <c r="I29" s="23" t="str">
        <f>B19</f>
        <v>Noteholder 1</v>
      </c>
      <c r="J29" s="44">
        <f t="shared" si="3"/>
        <v>44562</v>
      </c>
      <c r="K29" s="94">
        <f t="shared" si="4"/>
        <v>50000</v>
      </c>
      <c r="L29" s="95">
        <f t="shared" si="4"/>
        <v>0.1</v>
      </c>
      <c r="M29" s="46">
        <f>K29*(L29*(($K$26-J29)/365))</f>
        <v>7479.4520547945203</v>
      </c>
      <c r="N29" s="96">
        <f>SUM(M29+K29)</f>
        <v>57479.452054794521</v>
      </c>
      <c r="O29" s="97">
        <f ca="1">ROUND(MIN($K$37*(1-J19),I19/$K$27),4)</f>
        <v>0.47549999999999998</v>
      </c>
      <c r="P29" s="98">
        <f ca="1">ROUNDDOWN(N29/O29,0)</f>
        <v>120882</v>
      </c>
    </row>
    <row r="30" spans="2:18" s="23" customFormat="1">
      <c r="B30" s="23" t="str">
        <f t="shared" si="2"/>
        <v>Founder B</v>
      </c>
      <c r="C30" s="91">
        <f t="shared" si="2"/>
        <v>3000000</v>
      </c>
      <c r="D30" s="91">
        <f t="shared" si="2"/>
        <v>0</v>
      </c>
      <c r="E30" s="17"/>
      <c r="F30" s="91">
        <f t="shared" ref="F30:F33" si="5">SUM(C30:E30)</f>
        <v>3000000</v>
      </c>
      <c r="G30" s="92">
        <f ca="1">F30/$F$37</f>
        <v>0.19804746326285572</v>
      </c>
      <c r="I30" s="23" t="str">
        <f>B20</f>
        <v>Noteholder 2</v>
      </c>
      <c r="J30" s="44">
        <f t="shared" si="3"/>
        <v>44562</v>
      </c>
      <c r="K30" s="94">
        <f t="shared" si="4"/>
        <v>100000</v>
      </c>
      <c r="L30" s="95">
        <f t="shared" si="4"/>
        <v>0.1</v>
      </c>
      <c r="M30" s="46">
        <f>K30*(L30*(($K$26-J30)/365))</f>
        <v>14958.904109589041</v>
      </c>
      <c r="N30" s="96">
        <f t="shared" ref="N30:N31" si="6">SUM(M30+K30)</f>
        <v>114958.90410958904</v>
      </c>
      <c r="O30" s="97">
        <f ca="1">ROUND(MIN($K$37*(1-J20),I20/$K$27),4)</f>
        <v>0.47549999999999998</v>
      </c>
      <c r="P30" s="98">
        <f t="shared" ref="P30:P31" ca="1" si="7">ROUNDDOWN(N30/O30,0)</f>
        <v>241764</v>
      </c>
    </row>
    <row r="31" spans="2:18" s="23" customFormat="1">
      <c r="B31" s="23" t="str">
        <f t="shared" si="2"/>
        <v>Founder C</v>
      </c>
      <c r="C31" s="91">
        <f t="shared" si="2"/>
        <v>3000000</v>
      </c>
      <c r="D31" s="91">
        <f t="shared" si="2"/>
        <v>0</v>
      </c>
      <c r="E31" s="17"/>
      <c r="F31" s="91">
        <f t="shared" si="5"/>
        <v>3000000</v>
      </c>
      <c r="G31" s="92">
        <f ca="1">F31/$F$37</f>
        <v>0.19804746326285572</v>
      </c>
      <c r="I31" s="23" t="str">
        <f>B21</f>
        <v>Noteholder 3</v>
      </c>
      <c r="J31" s="44">
        <f t="shared" si="3"/>
        <v>44562</v>
      </c>
      <c r="K31" s="94">
        <f t="shared" si="4"/>
        <v>200000</v>
      </c>
      <c r="L31" s="95">
        <f t="shared" si="4"/>
        <v>0.1</v>
      </c>
      <c r="M31" s="46">
        <f>K31*(L31*(($K$26-J31)/365))</f>
        <v>29917.808219178081</v>
      </c>
      <c r="N31" s="96">
        <f t="shared" si="6"/>
        <v>229917.80821917808</v>
      </c>
      <c r="O31" s="97">
        <f ca="1">ROUND(MIN($K$37*(1-J21),I21/$K$27),4)</f>
        <v>0.47549999999999998</v>
      </c>
      <c r="P31" s="98">
        <f t="shared" ca="1" si="7"/>
        <v>483528</v>
      </c>
    </row>
    <row r="32" spans="2:18" s="23" customFormat="1">
      <c r="B32" s="23" t="s">
        <v>40</v>
      </c>
      <c r="C32" s="91"/>
      <c r="D32" s="91">
        <f ca="1">IFERROR(ROUNDDOWN(E26*F37,0),D14)</f>
        <v>1514788</v>
      </c>
      <c r="E32" s="17"/>
      <c r="F32" s="91">
        <f t="shared" ca="1" si="5"/>
        <v>1514788</v>
      </c>
      <c r="G32" s="92">
        <f ca="1">F32/$F$37</f>
        <v>9.9999973593671562E-2</v>
      </c>
      <c r="I32" s="99"/>
      <c r="J32" s="99"/>
      <c r="K32" s="100">
        <f>SUM(K29:K31)</f>
        <v>350000</v>
      </c>
      <c r="L32" s="101"/>
      <c r="M32" s="102">
        <f>SUM(M29:M31)</f>
        <v>52356.164383561641</v>
      </c>
      <c r="N32" s="102">
        <f>SUM(N29:N31)</f>
        <v>402356.16438356164</v>
      </c>
      <c r="O32" s="101"/>
      <c r="P32" s="103">
        <f ca="1">SUM(P29:P31)</f>
        <v>846174</v>
      </c>
    </row>
    <row r="33" spans="2:16" s="23" customFormat="1" ht="18">
      <c r="B33" s="23" t="s">
        <v>25</v>
      </c>
      <c r="C33" s="91"/>
      <c r="D33" s="91"/>
      <c r="E33" s="91">
        <f ca="1">IFERROR(P32,0)</f>
        <v>846174</v>
      </c>
      <c r="F33" s="91">
        <f t="shared" ca="1" si="5"/>
        <v>846174</v>
      </c>
      <c r="G33" s="92">
        <f ca="1">F33/$F$37</f>
        <v>5.586087139299456E-2</v>
      </c>
      <c r="I33" s="3" t="s">
        <v>47</v>
      </c>
      <c r="J33" s="104"/>
      <c r="K33" s="105"/>
      <c r="M33" s="106"/>
      <c r="N33" s="106"/>
    </row>
    <row r="34" spans="2:16" s="23" customFormat="1">
      <c r="C34" s="26"/>
      <c r="D34" s="26"/>
      <c r="E34" s="34" t="s">
        <v>26</v>
      </c>
      <c r="F34" s="107">
        <f ca="1">SUM(F29:F33)</f>
        <v>11360962</v>
      </c>
      <c r="G34" s="108">
        <f ca="1">SUM(G29:G33)</f>
        <v>0.75000323477523323</v>
      </c>
      <c r="M34" s="106"/>
      <c r="N34" s="106"/>
    </row>
    <row r="35" spans="2:16" s="23" customFormat="1">
      <c r="C35" s="26"/>
      <c r="D35" s="26"/>
      <c r="E35" s="17"/>
      <c r="F35" s="26"/>
      <c r="G35" s="26"/>
      <c r="I35" s="23" t="s">
        <v>27</v>
      </c>
      <c r="J35" s="104"/>
      <c r="K35" s="104"/>
      <c r="L35" s="104"/>
      <c r="N35" s="109"/>
    </row>
    <row r="36" spans="2:16" s="23" customFormat="1">
      <c r="B36" s="110" t="s">
        <v>31</v>
      </c>
      <c r="C36" s="91"/>
      <c r="D36" s="91"/>
      <c r="E36" s="91">
        <f ca="1">L37</f>
        <v>3786922</v>
      </c>
      <c r="F36" s="91">
        <f ca="1">E36</f>
        <v>3786922</v>
      </c>
      <c r="G36" s="92">
        <f ca="1">F36/$F$37</f>
        <v>0.24999676522476671</v>
      </c>
      <c r="I36" s="111" t="s">
        <v>28</v>
      </c>
      <c r="J36" s="111" t="s">
        <v>29</v>
      </c>
      <c r="K36" s="111" t="s">
        <v>30</v>
      </c>
      <c r="L36" s="111" t="s">
        <v>31</v>
      </c>
      <c r="N36" s="112"/>
    </row>
    <row r="37" spans="2:16" s="23" customFormat="1">
      <c r="B37" s="34" t="s">
        <v>32</v>
      </c>
      <c r="C37" s="53">
        <f>SUM(C29:C36)</f>
        <v>9000000</v>
      </c>
      <c r="D37" s="53">
        <f ca="1">SUM(D29:D36)</f>
        <v>1514788</v>
      </c>
      <c r="E37" s="53">
        <f ca="1">SUM(E29:E36)</f>
        <v>4633096</v>
      </c>
      <c r="F37" s="53">
        <f ca="1">SUM(F34:F36)</f>
        <v>15147884</v>
      </c>
      <c r="G37" s="113">
        <f ca="1">SUM(G34:G36)</f>
        <v>1</v>
      </c>
      <c r="H37" s="93"/>
      <c r="I37" s="94">
        <f>C25</f>
        <v>3000000</v>
      </c>
      <c r="J37" s="94">
        <f>E25</f>
        <v>9000000</v>
      </c>
      <c r="K37" s="114">
        <f ca="1">IFERROR(ROUND(J37/F34,4),1)</f>
        <v>0.79220000000000002</v>
      </c>
      <c r="L37" s="98">
        <f ca="1">ROUNDDOWN(I37/K37,0)</f>
        <v>3786922</v>
      </c>
      <c r="N37" s="115"/>
    </row>
    <row r="38" spans="2:16">
      <c r="B38" s="116"/>
      <c r="C38" s="62"/>
      <c r="D38" s="117"/>
      <c r="E38" s="117"/>
      <c r="F38" s="117"/>
      <c r="G38" s="118"/>
      <c r="H38" s="116"/>
      <c r="I38" s="119"/>
      <c r="J38" s="119"/>
      <c r="K38" s="120"/>
      <c r="L38" s="121"/>
      <c r="N38" s="122"/>
    </row>
    <row r="39" spans="2:16">
      <c r="C39" s="62"/>
      <c r="D39" s="123"/>
      <c r="E39" s="124"/>
      <c r="F39" s="62"/>
      <c r="G39" s="62"/>
      <c r="M39" s="22"/>
      <c r="P39" s="125"/>
    </row>
    <row r="40" spans="2:16">
      <c r="B40" s="116" t="s">
        <v>46</v>
      </c>
      <c r="C40" s="62"/>
      <c r="D40" s="126"/>
      <c r="E40" s="127"/>
      <c r="F40" s="62"/>
      <c r="G40" s="62"/>
    </row>
    <row r="41" spans="2:16">
      <c r="C41" s="62"/>
      <c r="D41" s="62"/>
      <c r="E41" s="62"/>
      <c r="F41" s="62"/>
      <c r="G41" s="62"/>
    </row>
    <row r="42" spans="2:16">
      <c r="C42" s="62"/>
      <c r="D42" s="62"/>
      <c r="E42" s="62"/>
      <c r="F42" s="62"/>
      <c r="G42" s="62"/>
    </row>
    <row r="43" spans="2:16">
      <c r="C43" s="62"/>
      <c r="D43" s="62"/>
      <c r="E43" s="62"/>
      <c r="F43" s="62"/>
      <c r="G43" s="62"/>
    </row>
    <row r="72" ht="14.45" customHeight="1"/>
  </sheetData>
  <conditionalFormatting sqref="D32">
    <cfRule type="cellIs" dxfId="1" priority="2" operator="equal">
      <formula>0</formula>
    </cfRule>
  </conditionalFormatting>
  <conditionalFormatting sqref="K37">
    <cfRule type="cellIs" dxfId="0" priority="1" operator="equal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Hypo from VW Blog</vt:lpstr>
      <vt:lpstr>Conv Note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Vela</dc:creator>
  <cp:lastModifiedBy>Kevin Vela</cp:lastModifiedBy>
  <dcterms:created xsi:type="dcterms:W3CDTF">2020-04-29T11:47:28Z</dcterms:created>
  <dcterms:modified xsi:type="dcterms:W3CDTF">2022-03-01T23:53:41Z</dcterms:modified>
</cp:coreProperties>
</file>